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720" windowWidth="16920" windowHeight="56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Лист1!$A$1:$Z$21</definedName>
  </definedNames>
  <calcPr calcId="144525"/>
</workbook>
</file>

<file path=xl/calcChain.xml><?xml version="1.0" encoding="utf-8"?>
<calcChain xmlns="http://schemas.openxmlformats.org/spreadsheetml/2006/main">
  <c r="T8" i="1" l="1"/>
  <c r="U15" i="1" l="1"/>
  <c r="U14" i="1"/>
  <c r="U12" i="1"/>
  <c r="U11" i="1"/>
  <c r="U9" i="1"/>
  <c r="U8" i="1"/>
  <c r="Q17" i="1"/>
  <c r="P17" i="1"/>
  <c r="S16" i="1"/>
  <c r="S18" i="1" s="1"/>
  <c r="R16" i="1"/>
  <c r="R18" i="1" s="1"/>
  <c r="Q15" i="1"/>
  <c r="P15" i="1"/>
  <c r="P14" i="1"/>
  <c r="Q14" i="1" s="1"/>
  <c r="Q13" i="1"/>
  <c r="P13" i="1"/>
  <c r="Q12" i="1"/>
  <c r="P12" i="1"/>
  <c r="Q11" i="1"/>
  <c r="P11" i="1"/>
  <c r="Q10" i="1"/>
  <c r="P10" i="1"/>
  <c r="Q9" i="1"/>
  <c r="P9" i="1"/>
  <c r="Q8" i="1"/>
  <c r="P8" i="1"/>
  <c r="O15" i="1"/>
  <c r="O14" i="1"/>
  <c r="O13" i="1"/>
  <c r="O12" i="1"/>
  <c r="O11" i="1"/>
  <c r="O10" i="1"/>
  <c r="O9" i="1"/>
  <c r="O8" i="1"/>
  <c r="M15" i="1"/>
  <c r="M14" i="1"/>
  <c r="M13" i="1"/>
  <c r="M12" i="1"/>
  <c r="M11" i="1"/>
  <c r="M10" i="1"/>
  <c r="M9" i="1"/>
  <c r="M8" i="1"/>
  <c r="K15" i="1"/>
  <c r="K14" i="1"/>
  <c r="K12" i="1"/>
  <c r="K11" i="1"/>
  <c r="K10" i="1"/>
  <c r="K8" i="1"/>
  <c r="K9" i="1"/>
  <c r="K13" i="1"/>
  <c r="I15" i="1"/>
  <c r="I14" i="1"/>
  <c r="I13" i="1"/>
  <c r="I12" i="1"/>
  <c r="I11" i="1"/>
  <c r="I10" i="1"/>
  <c r="I9" i="1"/>
  <c r="I8" i="1"/>
  <c r="G15" i="1"/>
  <c r="G14" i="1"/>
  <c r="G13" i="1"/>
  <c r="G12" i="1"/>
  <c r="G11" i="1"/>
  <c r="G10" i="1"/>
  <c r="G9" i="1"/>
  <c r="G8" i="1"/>
  <c r="P16" i="1" l="1"/>
  <c r="Q16" i="1" s="1"/>
  <c r="X16" i="1"/>
  <c r="P18" i="1" l="1"/>
  <c r="Q18" i="1" s="1"/>
  <c r="N16" i="1"/>
  <c r="L16" i="1"/>
  <c r="M16" i="1" s="1"/>
  <c r="J16" i="1"/>
  <c r="K16" i="1" s="1"/>
  <c r="H16" i="1"/>
  <c r="I16" i="1" s="1"/>
  <c r="T17" i="1" l="1"/>
  <c r="V16" i="1" l="1"/>
  <c r="W16" i="1"/>
  <c r="T9" i="1" l="1"/>
  <c r="K17" i="1" l="1"/>
  <c r="N18" i="1" l="1"/>
  <c r="D16" i="1"/>
  <c r="D18" i="1" s="1"/>
  <c r="C16" i="1"/>
  <c r="C18" i="1" s="1"/>
  <c r="J18" i="1" l="1"/>
  <c r="K18" i="1" s="1"/>
  <c r="U17" i="1"/>
  <c r="Y16" i="1" l="1"/>
  <c r="Y18" i="1" l="1"/>
  <c r="O17" i="1" l="1"/>
  <c r="M17" i="1" l="1"/>
  <c r="I17" i="1"/>
  <c r="G17" i="1"/>
  <c r="Z16" i="1"/>
  <c r="Z18" i="1" s="1"/>
  <c r="V18" i="1"/>
  <c r="H18" i="1"/>
  <c r="I18" i="1" s="1"/>
  <c r="F16" i="1"/>
  <c r="E16" i="1"/>
  <c r="E18" i="1" s="1"/>
  <c r="B16" i="1"/>
  <c r="B18" i="1" s="1"/>
  <c r="O16" i="1" l="1"/>
  <c r="G16" i="1"/>
  <c r="L18" i="1"/>
  <c r="M18" i="1" s="1"/>
  <c r="F18" i="1"/>
  <c r="O18" i="1" l="1"/>
  <c r="G18" i="1"/>
  <c r="T13" i="1"/>
  <c r="U13" i="1" s="1"/>
  <c r="T11" i="1"/>
  <c r="W18" i="1"/>
  <c r="T10" i="1"/>
  <c r="U10" i="1" s="1"/>
  <c r="T12" i="1"/>
  <c r="T16" i="1" l="1"/>
  <c r="T18" i="1" l="1"/>
  <c r="U18" i="1" s="1"/>
  <c r="U16" i="1"/>
</calcChain>
</file>

<file path=xl/sharedStrings.xml><?xml version="1.0" encoding="utf-8"?>
<sst xmlns="http://schemas.openxmlformats.org/spreadsheetml/2006/main" count="45" uniqueCount="40">
  <si>
    <t xml:space="preserve">     С В О Д К А</t>
  </si>
  <si>
    <t>по полеводству по хозяйствам Канского района</t>
  </si>
  <si>
    <t>на</t>
  </si>
  <si>
    <t>Наименование хозяйства</t>
  </si>
  <si>
    <t>%  к плану</t>
  </si>
  <si>
    <t>% к плану</t>
  </si>
  <si>
    <t>в том числе</t>
  </si>
  <si>
    <t>ЗАО"Большеуринское"</t>
  </si>
  <si>
    <t>СПК "Георгиевский"</t>
  </si>
  <si>
    <t>ОАО "Новотаежное"</t>
  </si>
  <si>
    <t>ОАО "Тайнинское"</t>
  </si>
  <si>
    <t>По  хозяйствам</t>
  </si>
  <si>
    <t>По фермерам и ПТУ</t>
  </si>
  <si>
    <t>ИТОГО</t>
  </si>
  <si>
    <t>Отдел сельского хозяйства администрации Канского района</t>
  </si>
  <si>
    <t>АО "Арефьевское"</t>
  </si>
  <si>
    <t xml:space="preserve"> 10 к.ед на 1 усл. гол</t>
  </si>
  <si>
    <t>13 отвально</t>
  </si>
  <si>
    <t>14 безотвально</t>
  </si>
  <si>
    <t xml:space="preserve"> 15 Хим.  прополка всего         га</t>
  </si>
  <si>
    <t>16 Обработка против вредителей, га</t>
  </si>
  <si>
    <r>
      <rPr>
        <b/>
        <sz val="12"/>
        <rFont val="Arial Cyr"/>
        <charset val="204"/>
      </rPr>
      <t xml:space="preserve">1 </t>
    </r>
    <r>
      <rPr>
        <sz val="12"/>
        <rFont val="Arial Cyr"/>
        <charset val="204"/>
      </rPr>
      <t>скошено трав, .га</t>
    </r>
  </si>
  <si>
    <r>
      <rPr>
        <b/>
        <sz val="12"/>
        <rFont val="Arial Cyr"/>
        <charset val="204"/>
      </rPr>
      <t>2</t>
    </r>
    <r>
      <rPr>
        <sz val="12"/>
        <rFont val="Arial Cyr"/>
        <charset val="204"/>
      </rPr>
      <t xml:space="preserve"> в т.ч. естественных трав, га</t>
    </r>
  </si>
  <si>
    <r>
      <rPr>
        <b/>
        <sz val="12"/>
        <rFont val="Arial Cyr"/>
        <charset val="204"/>
      </rPr>
      <t>3</t>
    </r>
    <r>
      <rPr>
        <sz val="12"/>
        <rFont val="Arial Cyr"/>
        <charset val="204"/>
      </rPr>
      <t xml:space="preserve"> в т.ч. скошено естественных и сеяных трав вторым укосом, га</t>
    </r>
  </si>
  <si>
    <t>4 убрано трав, га</t>
  </si>
  <si>
    <t>5 заготовлено сена, тн</t>
  </si>
  <si>
    <t xml:space="preserve"> 6 заготовлено сенажа, тн</t>
  </si>
  <si>
    <t xml:space="preserve"> 7 заготовлено силоса, тн</t>
  </si>
  <si>
    <t>8 заготовлено соломы, тн</t>
  </si>
  <si>
    <t>9 засыпано зернофуража,тн</t>
  </si>
  <si>
    <t>2019 год</t>
  </si>
  <si>
    <t xml:space="preserve">АО "Канская сортисп станция" </t>
  </si>
  <si>
    <t>ООО "Ахурян"</t>
  </si>
  <si>
    <t>12 вспашка пара, га</t>
  </si>
  <si>
    <t>ОАО "Племзавод Красный Маяк"</t>
  </si>
  <si>
    <t>июля</t>
  </si>
  <si>
    <t>15а хим. подкорневая</t>
  </si>
  <si>
    <t xml:space="preserve"> вспашка зяби, га</t>
  </si>
  <si>
    <t xml:space="preserve"> отвально</t>
  </si>
  <si>
    <t xml:space="preserve"> безотвально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</si>
</sst>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4"/>
      <color theme="1"/>
      <name val="Calibri"/>
      <family val="2"/>
      <charset val="204"/>
      <scheme val="minor"/>
    </font>
    <font>
      <sz val="14"/>
      <name val="Arial Cyr"/>
      <charset val="204"/>
    </font>
    <font>
      <i/>
      <sz val="10"/>
      <name val="Arial Cyr"/>
      <charset val="204"/>
    </font>
    <font>
      <sz val="16"/>
      <name val="Arial Cyr"/>
      <charset val="204"/>
    </font>
    <font>
      <b/>
      <sz val="18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4"/>
      <name val="Arial Cyr"/>
      <charset val="204"/>
    </font>
    <font>
      <b/>
      <sz val="12"/>
      <color rgb="FFFF0000"/>
      <name val="Arial Cyr"/>
      <charset val="204"/>
    </font>
    <font>
      <b/>
      <sz val="14"/>
      <color rgb="FFFF0000"/>
      <name val="Arial Cyr"/>
      <charset val="204"/>
    </font>
    <font>
      <sz val="12"/>
      <color rgb="FFFF0000"/>
      <name val="Arial Cyr"/>
      <charset val="204"/>
    </font>
    <font>
      <b/>
      <i/>
      <sz val="12"/>
      <name val="Arial Cyr"/>
      <charset val="204"/>
    </font>
    <font>
      <i/>
      <sz val="12"/>
      <name val="Arial Cyr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Border="1"/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1" fontId="7" fillId="0" borderId="1" xfId="0" applyNumberFormat="1" applyFont="1" applyFill="1" applyBorder="1" applyAlignment="1">
      <alignment horizontal="center"/>
    </xf>
    <xf numFmtId="0" fontId="0" fillId="0" borderId="0" xfId="0" applyFont="1"/>
    <xf numFmtId="0" fontId="0" fillId="0" borderId="0" xfId="0" applyBorder="1"/>
    <xf numFmtId="1" fontId="7" fillId="4" borderId="1" xfId="0" applyNumberFormat="1" applyFont="1" applyFill="1" applyBorder="1" applyAlignment="1">
      <alignment horizontal="center"/>
    </xf>
    <xf numFmtId="1" fontId="7" fillId="5" borderId="1" xfId="0" applyNumberFormat="1" applyFont="1" applyFill="1" applyBorder="1" applyAlignment="1">
      <alignment horizontal="center"/>
    </xf>
    <xf numFmtId="1" fontId="7" fillId="6" borderId="1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0" fontId="7" fillId="0" borderId="1" xfId="0" applyFont="1" applyFill="1" applyBorder="1"/>
    <xf numFmtId="0" fontId="7" fillId="0" borderId="1" xfId="0" applyFont="1" applyFill="1" applyBorder="1" applyAlignment="1">
      <alignment horizontal="center"/>
    </xf>
    <xf numFmtId="1" fontId="7" fillId="7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/>
    <xf numFmtId="0" fontId="4" fillId="0" borderId="0" xfId="0" applyFont="1" applyAlignment="1">
      <alignment horizontal="center"/>
    </xf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/>
    </xf>
    <xf numFmtId="1" fontId="6" fillId="4" borderId="1" xfId="0" applyNumberFormat="1" applyFont="1" applyFill="1" applyBorder="1" applyAlignment="1">
      <alignment horizontal="center"/>
    </xf>
    <xf numFmtId="1" fontId="5" fillId="4" borderId="1" xfId="0" applyNumberFormat="1" applyFont="1" applyFill="1" applyBorder="1" applyAlignment="1">
      <alignment horizontal="center"/>
    </xf>
    <xf numFmtId="1" fontId="6" fillId="5" borderId="1" xfId="0" applyNumberFormat="1" applyFont="1" applyFill="1" applyBorder="1" applyAlignment="1">
      <alignment horizontal="center"/>
    </xf>
    <xf numFmtId="1" fontId="5" fillId="5" borderId="1" xfId="0" applyNumberFormat="1" applyFont="1" applyFill="1" applyBorder="1" applyAlignment="1">
      <alignment horizontal="center"/>
    </xf>
    <xf numFmtId="1" fontId="6" fillId="6" borderId="1" xfId="0" applyNumberFormat="1" applyFont="1" applyFill="1" applyBorder="1" applyAlignment="1">
      <alignment horizontal="center"/>
    </xf>
    <xf numFmtId="1" fontId="5" fillId="6" borderId="1" xfId="0" applyNumberFormat="1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1" fontId="5" fillId="7" borderId="1" xfId="0" applyNumberFormat="1" applyFont="1" applyFill="1" applyBorder="1" applyAlignment="1">
      <alignment horizontal="center"/>
    </xf>
    <xf numFmtId="1" fontId="12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center"/>
    </xf>
    <xf numFmtId="0" fontId="6" fillId="8" borderId="1" xfId="0" applyFon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center"/>
    </xf>
    <xf numFmtId="1" fontId="6" fillId="7" borderId="1" xfId="0" applyNumberFormat="1" applyFont="1" applyFill="1" applyBorder="1" applyAlignment="1">
      <alignment horizontal="center"/>
    </xf>
    <xf numFmtId="1" fontId="11" fillId="0" borderId="1" xfId="0" applyNumberFormat="1" applyFont="1" applyFill="1" applyBorder="1" applyAlignment="1">
      <alignment horizontal="center"/>
    </xf>
    <xf numFmtId="0" fontId="5" fillId="0" borderId="1" xfId="0" applyFont="1" applyFill="1" applyBorder="1"/>
    <xf numFmtId="0" fontId="5" fillId="8" borderId="1" xfId="0" applyFont="1" applyFill="1" applyBorder="1" applyAlignment="1">
      <alignment horizontal="center"/>
    </xf>
    <xf numFmtId="164" fontId="10" fillId="2" borderId="1" xfId="0" applyNumberFormat="1" applyFont="1" applyFill="1" applyBorder="1" applyAlignment="1">
      <alignment horizontal="center"/>
    </xf>
    <xf numFmtId="1" fontId="5" fillId="10" borderId="1" xfId="0" applyNumberFormat="1" applyFont="1" applyFill="1" applyBorder="1" applyAlignment="1">
      <alignment horizontal="center"/>
    </xf>
    <xf numFmtId="1" fontId="5" fillId="9" borderId="1" xfId="0" applyNumberFormat="1" applyFont="1" applyFill="1" applyBorder="1" applyAlignment="1">
      <alignment horizontal="center"/>
    </xf>
    <xf numFmtId="0" fontId="5" fillId="9" borderId="1" xfId="0" applyFont="1" applyFill="1" applyBorder="1"/>
    <xf numFmtId="0" fontId="5" fillId="9" borderId="1" xfId="0" applyFont="1" applyFill="1" applyBorder="1" applyAlignment="1">
      <alignment horizontal="left" vertical="center" wrapText="1"/>
    </xf>
    <xf numFmtId="0" fontId="0" fillId="0" borderId="0" xfId="0"/>
    <xf numFmtId="1" fontId="6" fillId="9" borderId="1" xfId="0" applyNumberFormat="1" applyFont="1" applyFill="1" applyBorder="1" applyAlignment="1">
      <alignment horizontal="center"/>
    </xf>
    <xf numFmtId="0" fontId="5" fillId="9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0" fillId="0" borderId="0" xfId="0"/>
    <xf numFmtId="0" fontId="6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2"/>
  <sheetViews>
    <sheetView tabSelected="1" view="pageBreakPreview" zoomScale="106" zoomScaleNormal="70" zoomScaleSheetLayoutView="106" workbookViewId="0">
      <selection activeCell="C15" sqref="C15"/>
    </sheetView>
  </sheetViews>
  <sheetFormatPr defaultRowHeight="18.75" x14ac:dyDescent="0.3"/>
  <cols>
    <col min="1" max="1" width="23.5" customWidth="1"/>
    <col min="2" max="2" width="6.3984375" customWidth="1"/>
    <col min="3" max="3" width="5.59765625" style="18" customWidth="1"/>
    <col min="4" max="4" width="6" style="18" customWidth="1"/>
    <col min="5" max="5" width="6.19921875" customWidth="1"/>
    <col min="6" max="6" width="6.3984375" customWidth="1"/>
    <col min="7" max="7" width="3.69921875" customWidth="1"/>
    <col min="8" max="8" width="6.19921875" customWidth="1"/>
    <col min="9" max="9" width="3.69921875" customWidth="1"/>
    <col min="10" max="10" width="6" style="18" customWidth="1"/>
    <col min="11" max="11" width="3.69921875" style="20" customWidth="1"/>
    <col min="12" max="12" width="6.3984375" customWidth="1"/>
    <col min="13" max="13" width="3.69921875" customWidth="1"/>
    <col min="14" max="14" width="6.5" style="18" customWidth="1"/>
    <col min="15" max="15" width="5" customWidth="1"/>
    <col min="16" max="16" width="6.5" customWidth="1"/>
    <col min="17" max="17" width="3.796875" customWidth="1"/>
    <col min="18" max="18" width="5.796875" customWidth="1"/>
    <col min="19" max="19" width="5.69921875" customWidth="1"/>
    <col min="20" max="20" width="5.69921875" style="47" customWidth="1"/>
    <col min="21" max="21" width="3.69921875" customWidth="1"/>
    <col min="22" max="23" width="5.59765625" customWidth="1"/>
    <col min="24" max="24" width="4.3984375" customWidth="1"/>
    <col min="25" max="25" width="6" customWidth="1"/>
    <col min="26" max="26" width="8" customWidth="1"/>
  </cols>
  <sheetData>
    <row r="1" spans="1:26" x14ac:dyDescent="0.3">
      <c r="E1" s="1"/>
      <c r="F1" s="1"/>
      <c r="G1" s="57" t="s">
        <v>0</v>
      </c>
      <c r="H1" s="57"/>
      <c r="I1" s="57"/>
      <c r="J1" s="57"/>
      <c r="K1" s="57"/>
      <c r="L1" s="57"/>
      <c r="M1" s="57"/>
      <c r="N1" s="57"/>
      <c r="O1" s="57"/>
      <c r="U1" s="2"/>
      <c r="V1" s="2"/>
    </row>
    <row r="2" spans="1:26" x14ac:dyDescent="0.3">
      <c r="E2" s="57" t="s">
        <v>1</v>
      </c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U2" s="3"/>
      <c r="V2" s="3"/>
    </row>
    <row r="3" spans="1:26" ht="31.5" customHeight="1" x14ac:dyDescent="0.35">
      <c r="E3" s="1"/>
      <c r="F3" s="4"/>
      <c r="G3" s="5" t="s">
        <v>2</v>
      </c>
      <c r="H3" s="58">
        <v>22</v>
      </c>
      <c r="I3" s="58"/>
      <c r="J3" s="16"/>
      <c r="K3" s="19"/>
      <c r="L3" s="59" t="s">
        <v>35</v>
      </c>
      <c r="M3" s="59"/>
      <c r="N3" s="17"/>
      <c r="O3" s="60" t="s">
        <v>30</v>
      </c>
      <c r="P3" s="61"/>
      <c r="U3" s="2"/>
      <c r="V3" s="2"/>
    </row>
    <row r="4" spans="1:26" ht="27.75" customHeight="1" x14ac:dyDescent="0.3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3"/>
      <c r="V4" s="3"/>
    </row>
    <row r="5" spans="1:26" ht="18.75" customHeight="1" x14ac:dyDescent="0.3">
      <c r="A5" s="54" t="s">
        <v>3</v>
      </c>
      <c r="B5" s="54" t="s">
        <v>21</v>
      </c>
      <c r="C5" s="54" t="s">
        <v>22</v>
      </c>
      <c r="D5" s="54" t="s">
        <v>23</v>
      </c>
      <c r="E5" s="54" t="s">
        <v>24</v>
      </c>
      <c r="F5" s="56" t="s">
        <v>25</v>
      </c>
      <c r="G5" s="54" t="s">
        <v>4</v>
      </c>
      <c r="H5" s="54" t="s">
        <v>26</v>
      </c>
      <c r="I5" s="54" t="s">
        <v>4</v>
      </c>
      <c r="J5" s="54" t="s">
        <v>27</v>
      </c>
      <c r="K5" s="54" t="s">
        <v>4</v>
      </c>
      <c r="L5" s="54" t="s">
        <v>28</v>
      </c>
      <c r="M5" s="54" t="s">
        <v>4</v>
      </c>
      <c r="N5" s="54" t="s">
        <v>29</v>
      </c>
      <c r="O5" s="55" t="s">
        <v>16</v>
      </c>
      <c r="P5" s="54" t="s">
        <v>33</v>
      </c>
      <c r="Q5" s="63" t="s">
        <v>5</v>
      </c>
      <c r="R5" s="54" t="s">
        <v>6</v>
      </c>
      <c r="S5" s="65"/>
      <c r="T5" s="54" t="s">
        <v>37</v>
      </c>
      <c r="U5" s="63" t="s">
        <v>5</v>
      </c>
      <c r="V5" s="54" t="s">
        <v>6</v>
      </c>
      <c r="W5" s="65"/>
      <c r="X5" s="51"/>
      <c r="Y5" s="67" t="s">
        <v>19</v>
      </c>
      <c r="Z5" s="66" t="s">
        <v>20</v>
      </c>
    </row>
    <row r="6" spans="1:26" x14ac:dyDescent="0.3">
      <c r="A6" s="54"/>
      <c r="B6" s="54"/>
      <c r="C6" s="54"/>
      <c r="D6" s="54"/>
      <c r="E6" s="54"/>
      <c r="F6" s="56"/>
      <c r="G6" s="54"/>
      <c r="H6" s="54"/>
      <c r="I6" s="54"/>
      <c r="J6" s="54"/>
      <c r="K6" s="54"/>
      <c r="L6" s="54"/>
      <c r="M6" s="54"/>
      <c r="N6" s="54"/>
      <c r="O6" s="55"/>
      <c r="P6" s="62"/>
      <c r="Q6" s="64"/>
      <c r="R6" s="54"/>
      <c r="S6" s="65"/>
      <c r="T6" s="62"/>
      <c r="U6" s="64"/>
      <c r="V6" s="54"/>
      <c r="W6" s="65"/>
      <c r="X6" s="52"/>
      <c r="Y6" s="67"/>
      <c r="Z6" s="66"/>
    </row>
    <row r="7" spans="1:26" ht="104.25" customHeight="1" x14ac:dyDescent="0.3">
      <c r="A7" s="54"/>
      <c r="B7" s="54"/>
      <c r="C7" s="54"/>
      <c r="D7" s="54"/>
      <c r="E7" s="54"/>
      <c r="F7" s="56"/>
      <c r="G7" s="54"/>
      <c r="H7" s="54"/>
      <c r="I7" s="54"/>
      <c r="J7" s="54"/>
      <c r="K7" s="54"/>
      <c r="L7" s="54"/>
      <c r="M7" s="54"/>
      <c r="N7" s="54"/>
      <c r="O7" s="55"/>
      <c r="P7" s="62"/>
      <c r="Q7" s="64"/>
      <c r="R7" s="53" t="s">
        <v>17</v>
      </c>
      <c r="S7" s="50" t="s">
        <v>18</v>
      </c>
      <c r="T7" s="62"/>
      <c r="U7" s="64"/>
      <c r="V7" s="21" t="s">
        <v>38</v>
      </c>
      <c r="W7" s="50" t="s">
        <v>39</v>
      </c>
      <c r="X7" s="49" t="s">
        <v>36</v>
      </c>
      <c r="Y7" s="67"/>
      <c r="Z7" s="66"/>
    </row>
    <row r="8" spans="1:26" x14ac:dyDescent="0.3">
      <c r="A8" s="45" t="s">
        <v>15</v>
      </c>
      <c r="B8" s="22">
        <v>3659</v>
      </c>
      <c r="C8" s="22"/>
      <c r="D8" s="22"/>
      <c r="E8" s="22">
        <v>3413</v>
      </c>
      <c r="F8" s="23">
        <v>625</v>
      </c>
      <c r="G8" s="24">
        <f>F8/1630*100</f>
        <v>38.343558282208591</v>
      </c>
      <c r="H8" s="25">
        <v>7517</v>
      </c>
      <c r="I8" s="26">
        <f>H8/8836*100</f>
        <v>85.072430964237213</v>
      </c>
      <c r="J8" s="25"/>
      <c r="K8" s="26">
        <f>J8/8521*100</f>
        <v>0</v>
      </c>
      <c r="L8" s="27"/>
      <c r="M8" s="28">
        <f>L8/2000*100</f>
        <v>0</v>
      </c>
      <c r="N8" s="25"/>
      <c r="O8" s="29">
        <f>(F8*0.47+H8*0.35+L8*0.22)/222.9</f>
        <v>13.121130551816957</v>
      </c>
      <c r="P8" s="43">
        <f>R8+S8</f>
        <v>657</v>
      </c>
      <c r="Q8" s="31">
        <f>P8*100/657</f>
        <v>100</v>
      </c>
      <c r="R8" s="30">
        <v>657</v>
      </c>
      <c r="S8" s="26"/>
      <c r="T8" s="43">
        <f>V8+W8</f>
        <v>418</v>
      </c>
      <c r="U8" s="31">
        <f>T8*100/5047</f>
        <v>8.2821478105805433</v>
      </c>
      <c r="V8" s="30">
        <v>375</v>
      </c>
      <c r="W8" s="26">
        <v>43</v>
      </c>
      <c r="X8" s="44">
        <v>1000</v>
      </c>
      <c r="Y8" s="32">
        <v>2950</v>
      </c>
      <c r="Z8" s="32">
        <v>1300</v>
      </c>
    </row>
    <row r="9" spans="1:26" x14ac:dyDescent="0.3">
      <c r="A9" s="45" t="s">
        <v>7</v>
      </c>
      <c r="B9" s="22">
        <v>5190</v>
      </c>
      <c r="C9" s="22"/>
      <c r="D9" s="22"/>
      <c r="E9" s="22">
        <v>4940</v>
      </c>
      <c r="F9" s="23">
        <v>178</v>
      </c>
      <c r="G9" s="24">
        <f>F9/750*100</f>
        <v>23.733333333333334</v>
      </c>
      <c r="H9" s="25">
        <v>12023</v>
      </c>
      <c r="I9" s="26">
        <f>H9/16276*100</f>
        <v>73.869501105922836</v>
      </c>
      <c r="J9" s="25"/>
      <c r="K9" s="26">
        <f t="shared" ref="K9:K13" si="0">J9/8521*100</f>
        <v>0</v>
      </c>
      <c r="L9" s="27"/>
      <c r="M9" s="28">
        <f>L9/3000*100</f>
        <v>0</v>
      </c>
      <c r="N9" s="25"/>
      <c r="O9" s="29">
        <f>(F9*0.47+H9*0.35+L9*0.22)/272</f>
        <v>15.778345588235295</v>
      </c>
      <c r="P9" s="43">
        <f>R9+S9</f>
        <v>3463</v>
      </c>
      <c r="Q9" s="31">
        <f>P9*100/3463</f>
        <v>100</v>
      </c>
      <c r="R9" s="30">
        <v>3304</v>
      </c>
      <c r="S9" s="26">
        <v>159</v>
      </c>
      <c r="T9" s="43">
        <f>V9+W9</f>
        <v>0</v>
      </c>
      <c r="U9" s="31">
        <f>T9*100/6926</f>
        <v>0</v>
      </c>
      <c r="V9" s="30"/>
      <c r="W9" s="26"/>
      <c r="X9" s="44"/>
      <c r="Y9" s="32">
        <v>6425</v>
      </c>
      <c r="Z9" s="32"/>
    </row>
    <row r="10" spans="1:26" x14ac:dyDescent="0.3">
      <c r="A10" s="45" t="s">
        <v>8</v>
      </c>
      <c r="B10" s="22">
        <v>813</v>
      </c>
      <c r="C10" s="22"/>
      <c r="D10" s="22"/>
      <c r="E10" s="22">
        <v>685</v>
      </c>
      <c r="F10" s="23">
        <v>175</v>
      </c>
      <c r="G10" s="24">
        <f>F10/1022*100</f>
        <v>17.123287671232877</v>
      </c>
      <c r="H10" s="25">
        <v>2242</v>
      </c>
      <c r="I10" s="26">
        <f>H10/3741*100</f>
        <v>59.930499866345897</v>
      </c>
      <c r="J10" s="25"/>
      <c r="K10" s="26">
        <f>J10/2400*100</f>
        <v>0</v>
      </c>
      <c r="L10" s="27"/>
      <c r="M10" s="28">
        <f>L10/1500*100</f>
        <v>0</v>
      </c>
      <c r="N10" s="25"/>
      <c r="O10" s="29">
        <f>(F10*0.47+H10*0.35+L10*0.22)/111.9</f>
        <v>7.7475424486148334</v>
      </c>
      <c r="P10" s="43">
        <f>R10+S10</f>
        <v>600</v>
      </c>
      <c r="Q10" s="31">
        <f>P10*100/600</f>
        <v>100</v>
      </c>
      <c r="R10" s="30">
        <v>600</v>
      </c>
      <c r="S10" s="26"/>
      <c r="T10" s="43">
        <f>V10+W10</f>
        <v>311</v>
      </c>
      <c r="U10" s="31">
        <f>T10*100/1759</f>
        <v>17.680500284252417</v>
      </c>
      <c r="V10" s="30">
        <v>311</v>
      </c>
      <c r="W10" s="26"/>
      <c r="X10" s="44"/>
      <c r="Y10" s="32">
        <v>2667</v>
      </c>
      <c r="Z10" s="32"/>
    </row>
    <row r="11" spans="1:26" ht="24" customHeight="1" x14ac:dyDescent="0.3">
      <c r="A11" s="46" t="s">
        <v>31</v>
      </c>
      <c r="B11" s="22">
        <v>5670</v>
      </c>
      <c r="C11" s="22"/>
      <c r="D11" s="22"/>
      <c r="E11" s="22">
        <v>5574</v>
      </c>
      <c r="F11" s="23">
        <v>638</v>
      </c>
      <c r="G11" s="24">
        <f>F11/1890*100</f>
        <v>33.75661375661376</v>
      </c>
      <c r="H11" s="25">
        <v>34877</v>
      </c>
      <c r="I11" s="26">
        <f>H11/42540*100</f>
        <v>81.98636577338975</v>
      </c>
      <c r="J11" s="25"/>
      <c r="K11" s="26">
        <f>J11/21495*100</f>
        <v>0</v>
      </c>
      <c r="L11" s="27"/>
      <c r="M11" s="28">
        <f>L11/4000*100</f>
        <v>0</v>
      </c>
      <c r="N11" s="25"/>
      <c r="O11" s="29">
        <f>(F11*0.47+H11*0.35+L11*0.22)/444.9</f>
        <v>28.111508204090807</v>
      </c>
      <c r="P11" s="43">
        <f t="shared" ref="P11:P15" si="1">R11+S11</f>
        <v>3000</v>
      </c>
      <c r="Q11" s="31">
        <f>P11*100/3000</f>
        <v>100</v>
      </c>
      <c r="R11" s="30">
        <v>2500</v>
      </c>
      <c r="S11" s="26">
        <v>500</v>
      </c>
      <c r="T11" s="43">
        <f t="shared" ref="T11:T17" si="2">V11+W11</f>
        <v>0</v>
      </c>
      <c r="U11" s="31">
        <f>T11*100/5660</f>
        <v>0</v>
      </c>
      <c r="V11" s="30"/>
      <c r="W11" s="26"/>
      <c r="X11" s="44"/>
      <c r="Y11" s="32">
        <v>8378</v>
      </c>
      <c r="Z11" s="32">
        <v>492</v>
      </c>
    </row>
    <row r="12" spans="1:26" ht="27.75" customHeight="1" x14ac:dyDescent="0.3">
      <c r="A12" s="46" t="s">
        <v>34</v>
      </c>
      <c r="B12" s="22">
        <v>3320</v>
      </c>
      <c r="C12" s="22"/>
      <c r="D12" s="22"/>
      <c r="E12" s="22">
        <v>3043</v>
      </c>
      <c r="F12" s="23">
        <v>2571</v>
      </c>
      <c r="G12" s="24">
        <f>F12/3477*100</f>
        <v>73.943054357204488</v>
      </c>
      <c r="H12" s="25">
        <v>18122</v>
      </c>
      <c r="I12" s="26">
        <f>H12/27511*100</f>
        <v>65.871833084947838</v>
      </c>
      <c r="J12" s="25"/>
      <c r="K12" s="26">
        <f>J12/7950*100</f>
        <v>0</v>
      </c>
      <c r="L12" s="27"/>
      <c r="M12" s="28">
        <f>L12/4000*100</f>
        <v>0</v>
      </c>
      <c r="N12" s="25"/>
      <c r="O12" s="29">
        <f>(F12*0.47+H12*0.35+L12*0.22)/426.3</f>
        <v>17.713042458362654</v>
      </c>
      <c r="P12" s="43">
        <f t="shared" si="1"/>
        <v>1953</v>
      </c>
      <c r="Q12" s="31">
        <f>P12*100/1953</f>
        <v>100</v>
      </c>
      <c r="R12" s="30"/>
      <c r="S12" s="26">
        <v>1953</v>
      </c>
      <c r="T12" s="43">
        <f t="shared" si="2"/>
        <v>0</v>
      </c>
      <c r="U12" s="31">
        <f>T12*100/12599</f>
        <v>0</v>
      </c>
      <c r="V12" s="30"/>
      <c r="W12" s="26"/>
      <c r="X12" s="44"/>
      <c r="Y12" s="32">
        <v>9162</v>
      </c>
      <c r="Z12" s="32"/>
    </row>
    <row r="13" spans="1:26" ht="25.5" customHeight="1" x14ac:dyDescent="0.3">
      <c r="A13" s="46" t="s">
        <v>32</v>
      </c>
      <c r="B13" s="22">
        <v>769</v>
      </c>
      <c r="C13" s="22"/>
      <c r="D13" s="22"/>
      <c r="E13" s="22">
        <v>769</v>
      </c>
      <c r="F13" s="23">
        <v>803</v>
      </c>
      <c r="G13" s="24">
        <f>F13/1507*100</f>
        <v>53.284671532846716</v>
      </c>
      <c r="H13" s="25">
        <v>6511</v>
      </c>
      <c r="I13" s="26">
        <f>H13/7214*100</f>
        <v>90.255059606321041</v>
      </c>
      <c r="J13" s="25"/>
      <c r="K13" s="26">
        <f t="shared" si="0"/>
        <v>0</v>
      </c>
      <c r="L13" s="27"/>
      <c r="M13" s="28">
        <f>L13/2000*100</f>
        <v>0</v>
      </c>
      <c r="N13" s="25"/>
      <c r="O13" s="29">
        <f>(F13*0.47+H13*0.35+L13*0.22)/99.5</f>
        <v>26.696080402010047</v>
      </c>
      <c r="P13" s="43">
        <f t="shared" si="1"/>
        <v>612</v>
      </c>
      <c r="Q13" s="31">
        <f>P13*100/600</f>
        <v>102</v>
      </c>
      <c r="R13" s="30">
        <v>12</v>
      </c>
      <c r="S13" s="26">
        <v>600</v>
      </c>
      <c r="T13" s="43">
        <f t="shared" si="2"/>
        <v>0</v>
      </c>
      <c r="U13" s="31">
        <f>T13*100/600</f>
        <v>0</v>
      </c>
      <c r="V13" s="30"/>
      <c r="W13" s="26"/>
      <c r="X13" s="44"/>
      <c r="Y13" s="32">
        <v>2495</v>
      </c>
      <c r="Z13" s="32">
        <v>150</v>
      </c>
    </row>
    <row r="14" spans="1:26" x14ac:dyDescent="0.3">
      <c r="A14" s="45" t="s">
        <v>9</v>
      </c>
      <c r="B14" s="22">
        <v>1800</v>
      </c>
      <c r="C14" s="22"/>
      <c r="D14" s="22"/>
      <c r="E14" s="22">
        <v>1650</v>
      </c>
      <c r="F14" s="23">
        <v>800</v>
      </c>
      <c r="G14" s="24">
        <f>F14/3733*100</f>
        <v>21.430484864720064</v>
      </c>
      <c r="H14" s="25">
        <v>8000</v>
      </c>
      <c r="I14" s="26">
        <f>H14/11803*100</f>
        <v>67.779378124205721</v>
      </c>
      <c r="J14" s="25"/>
      <c r="K14" s="26">
        <f>J14/7875*100</f>
        <v>0</v>
      </c>
      <c r="L14" s="27"/>
      <c r="M14" s="28">
        <f>L14/4000*100</f>
        <v>0</v>
      </c>
      <c r="N14" s="25"/>
      <c r="O14" s="29">
        <f>(F14*0.47+H14*0.35+L14*0.22)/329.3</f>
        <v>9.644700880655936</v>
      </c>
      <c r="P14" s="43">
        <f t="shared" si="1"/>
        <v>2000</v>
      </c>
      <c r="Q14" s="31">
        <f>P14*100/2000</f>
        <v>100</v>
      </c>
      <c r="R14" s="30">
        <v>930</v>
      </c>
      <c r="S14" s="26">
        <v>1070</v>
      </c>
      <c r="T14" s="43">
        <v>70</v>
      </c>
      <c r="U14" s="31">
        <f>T14*100/4356</f>
        <v>1.6069788797061524</v>
      </c>
      <c r="V14" s="30">
        <v>70</v>
      </c>
      <c r="W14" s="26"/>
      <c r="X14" s="44">
        <v>940</v>
      </c>
      <c r="Y14" s="32">
        <v>6600</v>
      </c>
      <c r="Z14" s="32">
        <v>1800</v>
      </c>
    </row>
    <row r="15" spans="1:26" x14ac:dyDescent="0.3">
      <c r="A15" s="45" t="s">
        <v>10</v>
      </c>
      <c r="B15" s="33">
        <v>2962</v>
      </c>
      <c r="C15" s="33"/>
      <c r="D15" s="33"/>
      <c r="E15" s="33">
        <v>2744</v>
      </c>
      <c r="F15" s="23">
        <v>761</v>
      </c>
      <c r="G15" s="24">
        <f>F15/990*100</f>
        <v>76.868686868686865</v>
      </c>
      <c r="H15" s="25">
        <v>10649</v>
      </c>
      <c r="I15" s="26">
        <f>H15/26601*100</f>
        <v>40.032329611668729</v>
      </c>
      <c r="J15" s="25"/>
      <c r="K15" s="26">
        <f>J15/4380*100</f>
        <v>0</v>
      </c>
      <c r="L15" s="27"/>
      <c r="M15" s="28">
        <f>L15/2500*100</f>
        <v>0</v>
      </c>
      <c r="N15" s="25"/>
      <c r="O15" s="29">
        <f>(F15*0.47+H15*0.35+L15*0.22)/351.1</f>
        <v>11.63434918826545</v>
      </c>
      <c r="P15" s="43">
        <f t="shared" si="1"/>
        <v>1474</v>
      </c>
      <c r="Q15" s="31">
        <f>P15*100/900</f>
        <v>163.77777777777777</v>
      </c>
      <c r="R15" s="30">
        <v>1474</v>
      </c>
      <c r="S15" s="26"/>
      <c r="T15" s="43">
        <v>129</v>
      </c>
      <c r="U15" s="31">
        <f>T15*100/3416</f>
        <v>3.7763466042154565</v>
      </c>
      <c r="V15" s="30">
        <v>206</v>
      </c>
      <c r="W15" s="26"/>
      <c r="X15" s="44"/>
      <c r="Y15" s="32">
        <v>5316</v>
      </c>
      <c r="Z15" s="32">
        <v>100</v>
      </c>
    </row>
    <row r="16" spans="1:26" x14ac:dyDescent="0.3">
      <c r="A16" s="34" t="s">
        <v>11</v>
      </c>
      <c r="B16" s="35">
        <f>SUM(B8:B15)</f>
        <v>24183</v>
      </c>
      <c r="C16" s="35">
        <f>SUM(C8:C15)</f>
        <v>0</v>
      </c>
      <c r="D16" s="35">
        <f>SUM(D8:D15)</f>
        <v>0</v>
      </c>
      <c r="E16" s="35">
        <f>SUM(E8:E15)</f>
        <v>22818</v>
      </c>
      <c r="F16" s="36">
        <f>SUM(F8:F15)</f>
        <v>6551</v>
      </c>
      <c r="G16" s="23">
        <f>F16/14999*100</f>
        <v>43.676245083005533</v>
      </c>
      <c r="H16" s="25">
        <f>SUM(H8:H15)</f>
        <v>99941</v>
      </c>
      <c r="I16" s="25">
        <f>H16/144522*100</f>
        <v>69.152793346341738</v>
      </c>
      <c r="J16" s="25">
        <f>SUM(J8:J15)</f>
        <v>0</v>
      </c>
      <c r="K16" s="25">
        <f>J16/52621*100</f>
        <v>0</v>
      </c>
      <c r="L16" s="27">
        <f>SUM(L8:L15)</f>
        <v>0</v>
      </c>
      <c r="M16" s="27">
        <f>L16/23000*100</f>
        <v>0</v>
      </c>
      <c r="N16" s="25">
        <f>SUM(N8:N15)</f>
        <v>0</v>
      </c>
      <c r="O16" s="29">
        <f>(F16*0.42+H16*0.35+L16*0.16)/2257.9</f>
        <v>16.710558483546656</v>
      </c>
      <c r="P16" s="37">
        <f>SUM(P8:P15)</f>
        <v>13759</v>
      </c>
      <c r="Q16" s="38">
        <f>P16*100/14403</f>
        <v>95.528709296674307</v>
      </c>
      <c r="R16" s="37">
        <f>SUM(R8:R15)</f>
        <v>9477</v>
      </c>
      <c r="S16" s="37">
        <f>SUM(S8:S15)</f>
        <v>4282</v>
      </c>
      <c r="T16" s="37">
        <f>SUM(T8:T15)</f>
        <v>928</v>
      </c>
      <c r="U16" s="38">
        <f>T16*100/39763</f>
        <v>2.3338279304881424</v>
      </c>
      <c r="V16" s="37">
        <f>SUM(V8:V15)</f>
        <v>962</v>
      </c>
      <c r="W16" s="37">
        <f>SUM(W8:W15)</f>
        <v>43</v>
      </c>
      <c r="X16" s="48">
        <f>SUM(X8:X15)</f>
        <v>1940</v>
      </c>
      <c r="Y16" s="39">
        <f>SUM(Y8:Y15)</f>
        <v>43993</v>
      </c>
      <c r="Z16" s="39">
        <f>SUM(Z8:Z15)</f>
        <v>3842</v>
      </c>
    </row>
    <row r="17" spans="1:26" s="7" customFormat="1" x14ac:dyDescent="0.3">
      <c r="A17" s="40" t="s">
        <v>12</v>
      </c>
      <c r="B17" s="33"/>
      <c r="C17" s="33"/>
      <c r="D17" s="33"/>
      <c r="E17" s="33"/>
      <c r="F17" s="41"/>
      <c r="G17" s="24">
        <f>F17/360*100</f>
        <v>0</v>
      </c>
      <c r="H17" s="26"/>
      <c r="I17" s="26">
        <f>H17/1*100</f>
        <v>0</v>
      </c>
      <c r="J17" s="26"/>
      <c r="K17" s="26">
        <f>J17/1*100</f>
        <v>0</v>
      </c>
      <c r="L17" s="28"/>
      <c r="M17" s="28">
        <f>L17/1*100</f>
        <v>0</v>
      </c>
      <c r="N17" s="26"/>
      <c r="O17" s="42">
        <f>(F17*0.42+H17*0.35+L17*0.16)/0.169</f>
        <v>0</v>
      </c>
      <c r="P17" s="44">
        <f t="shared" ref="P17" si="3">R17+S17</f>
        <v>5613.5</v>
      </c>
      <c r="Q17" s="31">
        <f>P17*100/5020</f>
        <v>111.82270916334662</v>
      </c>
      <c r="R17" s="30">
        <v>5613.5</v>
      </c>
      <c r="S17" s="26"/>
      <c r="T17" s="44">
        <f t="shared" si="2"/>
        <v>0</v>
      </c>
      <c r="U17" s="31">
        <f>T17*100/5020</f>
        <v>0</v>
      </c>
      <c r="V17" s="30"/>
      <c r="W17" s="26"/>
      <c r="X17" s="44"/>
      <c r="Y17" s="32"/>
      <c r="Z17" s="32"/>
    </row>
    <row r="18" spans="1:26" ht="26.25" customHeight="1" x14ac:dyDescent="0.3">
      <c r="A18" s="13" t="s">
        <v>13</v>
      </c>
      <c r="B18" s="14">
        <f>B17+B16</f>
        <v>24183</v>
      </c>
      <c r="C18" s="14">
        <f>C17+C16</f>
        <v>0</v>
      </c>
      <c r="D18" s="14">
        <f>D17+D16</f>
        <v>0</v>
      </c>
      <c r="E18" s="14">
        <f>E17+E16</f>
        <v>22818</v>
      </c>
      <c r="F18" s="14">
        <f>F17+F16</f>
        <v>6551</v>
      </c>
      <c r="G18" s="9">
        <f>F18/14999*100</f>
        <v>43.676245083005533</v>
      </c>
      <c r="H18" s="10">
        <f>H17+H16</f>
        <v>99941</v>
      </c>
      <c r="I18" s="10">
        <f>H18/144522*100</f>
        <v>69.152793346341738</v>
      </c>
      <c r="J18" s="10">
        <f>J17+J16</f>
        <v>0</v>
      </c>
      <c r="K18" s="10">
        <f>J18/52621*100</f>
        <v>0</v>
      </c>
      <c r="L18" s="11">
        <f>L17+L16</f>
        <v>0</v>
      </c>
      <c r="M18" s="11">
        <f>L18/23000*100</f>
        <v>0</v>
      </c>
      <c r="N18" s="10">
        <f>N17+N16</f>
        <v>0</v>
      </c>
      <c r="O18" s="12">
        <f>(F18*0.42+H18*0.35+L18*0.16)/2257.9</f>
        <v>16.710558483546656</v>
      </c>
      <c r="P18" s="6">
        <f>P17+P16</f>
        <v>19372.5</v>
      </c>
      <c r="Q18" s="15">
        <f>P18*100/20215</f>
        <v>95.832302745486032</v>
      </c>
      <c r="R18" s="6">
        <f t="shared" ref="R18:S18" si="4">R17+R16</f>
        <v>15090.5</v>
      </c>
      <c r="S18" s="6">
        <f t="shared" si="4"/>
        <v>4282</v>
      </c>
      <c r="T18" s="6">
        <f>T17+T16</f>
        <v>928</v>
      </c>
      <c r="U18" s="15">
        <f>T18*100/39763</f>
        <v>2.3338279304881424</v>
      </c>
      <c r="V18" s="6">
        <f t="shared" ref="V18:Z18" si="5">V17+V16</f>
        <v>962</v>
      </c>
      <c r="W18" s="6">
        <f t="shared" si="5"/>
        <v>43</v>
      </c>
      <c r="X18" s="6"/>
      <c r="Y18" s="6">
        <f t="shared" si="5"/>
        <v>43993</v>
      </c>
      <c r="Z18" s="6">
        <f t="shared" si="5"/>
        <v>3842</v>
      </c>
    </row>
    <row r="19" spans="1:26" x14ac:dyDescent="0.3">
      <c r="U19" s="2"/>
      <c r="V19" s="2"/>
    </row>
    <row r="20" spans="1:26" x14ac:dyDescent="0.3">
      <c r="L20" t="s">
        <v>14</v>
      </c>
      <c r="U20" s="2"/>
      <c r="V20" s="2"/>
    </row>
    <row r="21" spans="1:26" x14ac:dyDescent="0.3">
      <c r="U21" s="2"/>
      <c r="V21" s="2"/>
    </row>
    <row r="22" spans="1:26" x14ac:dyDescent="0.3">
      <c r="U22" s="2"/>
      <c r="V22" s="2"/>
    </row>
  </sheetData>
  <mergeCells count="28">
    <mergeCell ref="P5:P7"/>
    <mergeCell ref="Q5:Q7"/>
    <mergeCell ref="V5:W6"/>
    <mergeCell ref="Z5:Z7"/>
    <mergeCell ref="T5:T7"/>
    <mergeCell ref="U5:U7"/>
    <mergeCell ref="Y5:Y7"/>
    <mergeCell ref="R5:S6"/>
    <mergeCell ref="G1:O1"/>
    <mergeCell ref="E2:Q2"/>
    <mergeCell ref="H3:I3"/>
    <mergeCell ref="L3:M3"/>
    <mergeCell ref="O3:P3"/>
    <mergeCell ref="A5:A7"/>
    <mergeCell ref="B5:B7"/>
    <mergeCell ref="E5:E7"/>
    <mergeCell ref="F5:F7"/>
    <mergeCell ref="G5:G7"/>
    <mergeCell ref="C5:C7"/>
    <mergeCell ref="D5:D7"/>
    <mergeCell ref="H5:H7"/>
    <mergeCell ref="I5:I7"/>
    <mergeCell ref="L5:L7"/>
    <mergeCell ref="M5:M7"/>
    <mergeCell ref="O5:O7"/>
    <mergeCell ref="J5:J7"/>
    <mergeCell ref="N5:N7"/>
    <mergeCell ref="K5:K7"/>
  </mergeCells>
  <pageMargins left="0.9055118110236221" right="0.31496062992125984" top="0.74803149606299213" bottom="0.74803149606299213" header="0.31496062992125984" footer="0.31496062992125984"/>
  <pageSetup paperSize="9" scale="5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.75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.75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2019-07-22T01:22:05Z</cp:lastPrinted>
  <dcterms:created xsi:type="dcterms:W3CDTF">2016-05-31T08:40:42Z</dcterms:created>
  <dcterms:modified xsi:type="dcterms:W3CDTF">2019-07-22T01:31:24Z</dcterms:modified>
</cp:coreProperties>
</file>